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<sst xmlns="http://schemas.openxmlformats.org/spreadsheetml/2006/main" count="84" uniqueCount="84">
  <si>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</si>
  <si>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</si>
  <si>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</si>
  <si>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</si>
  <si>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</si>
  <si>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</si>
  <si>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</si>
  <si>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</si>
  <si>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</si>
  <si>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</si>
  <si>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</si>
  <si>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</si>
  <si>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</si>
  <si>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</si>
  <si>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</si>
  <si>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</si>
  <si>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</si>
  <si>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</si>
  <si>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</si>
  <si>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</si>
  <si>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</si>
  <si>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</si>
  <si>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</si>
  <si>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</si>
  <si>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</si>
  <si>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</si>
  <si>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</si>
  <si>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</si>
  <si>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</si>
  <si>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</si>
  <si>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</si>
  <si>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</si>
  <si>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</si>
  <si>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</si>
  <si>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</si>
  <si>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</si>
  <si>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</si>
  <si>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</si>
  <si>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</si>
  <si>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</si>
  <si>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</si>
  <si>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</si>
  <si>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</si>
  <si>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</si>
  <si>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</si>
  <si>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</si>
  <si>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</si>
  <si>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</si>
  <si>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</si>
  <si>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</si>
  <si>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</si>
  <si>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</si>
  <si>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</si>
  <si>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</si>
  <si>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</si>
  <si>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</si>
  <si>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</si>
  <si>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</si>
  <si>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</si>
  <si>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</si>
  <si>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</si>
  <si>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</si>
  <si>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</si>
  <si>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</si>
  <si>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</si>
  <si>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</si>
  <si>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</si>
  <si>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</si>
  <si>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</si>
  <si>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</si>
  <si>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</si>
  <si>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</si>
  <si>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</si>
  <si>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11010400, 11011600</t>
  </si>
  <si>
    <t>Фіксований податок</t>
  </si>
  <si>
    <t>бюджету міста за 1 квартал 2012 року"</t>
  </si>
  <si>
    <t>План на 1 квартал</t>
  </si>
  <si>
    <t>Виконано за 1 квартал</t>
  </si>
  <si>
    <t>Звіт про виконання бюджету міста за 1 квартал 2012 року</t>
  </si>
  <si>
    <t>Всього доходів І кошику</t>
  </si>
  <si>
    <t>Комунальний податок</t>
  </si>
  <si>
    <t>Соціальний захист та соціальне забезпечення - всього,</t>
  </si>
  <si>
    <t>до рішення 22 сесії міської ради</t>
  </si>
  <si>
    <t>від 18.05.2012 року № 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</si>
</sst>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2" xfId="0" applyFont="1" applyBorder="1" applyAlignment="1">
      <alignment horizontal="center" wrapText="1"/>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xf numFmtId="0" fontId="1" fillId="0" borderId="13"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2"/>
  <sheetViews>
    <sheetView tabSelected="1" zoomScalePageLayoutView="0" workbookViewId="0" topLeftCell="A1">
      <pane xSplit="2" ySplit="10" topLeftCell="C38" activePane="bottomRight" state="frozen"/>
      <selection pane="topLeft" activeCell="A1" sqref="A1"/>
      <selection pane="topRight" activeCell="C1" sqref="C1"/>
      <selection pane="bottomLeft" activeCell="A11" sqref="A11"/>
      <selection pane="bottomRight" activeCell="C7" sqref="C7"/>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82</v>
      </c>
    </row>
    <row r="3" ht="14.25">
      <c r="C3" s="1" t="s">
        <v>83</v>
      </c>
    </row>
    <row r="4" ht="14.25">
      <c r="C4" s="1" t="s">
        <v>59</v>
      </c>
    </row>
    <row r="5" ht="14.25">
      <c r="C5" s="1" t="s">
        <v>75</v>
      </c>
    </row>
    <row r="6" spans="1:2" ht="15">
      <c r="A6" s="2"/>
      <c r="B6" s="3" t="s">
        <v>78</v>
      </c>
    </row>
    <row r="7" spans="1:2" ht="15">
      <c r="A7" s="2"/>
      <c r="B7" s="3" t="s">
        <v>44</v>
      </c>
    </row>
    <row r="8" spans="1:5" ht="15">
      <c r="A8" s="2"/>
      <c r="E8" s="1" t="s">
        <v>52</v>
      </c>
    </row>
    <row r="9" spans="1:7" ht="62.25" customHeight="1">
      <c r="A9" s="23" t="s">
        <v>16</v>
      </c>
      <c r="B9" s="4" t="s">
        <v>22</v>
      </c>
      <c r="C9" s="5" t="s">
        <v>48</v>
      </c>
      <c r="D9" s="5" t="s">
        <v>76</v>
      </c>
      <c r="E9" s="6" t="s">
        <v>77</v>
      </c>
      <c r="F9" s="5" t="s">
        <v>42</v>
      </c>
      <c r="G9" s="24" t="s">
        <v>63</v>
      </c>
    </row>
    <row r="10" spans="1:6" ht="13.5" customHeight="1">
      <c r="A10" s="7"/>
      <c r="B10" s="41" t="s">
        <v>21</v>
      </c>
      <c r="C10" s="7"/>
      <c r="D10" s="56"/>
      <c r="E10" s="9"/>
      <c r="F10" s="10"/>
    </row>
    <row r="11" spans="1:7" ht="14.25">
      <c r="A11" s="11">
        <v>11010000</v>
      </c>
      <c r="B11" s="12" t="s">
        <v>72</v>
      </c>
      <c r="C11" s="43">
        <f>33097100</f>
        <v>33097100</v>
      </c>
      <c r="D11" s="43">
        <f>6849900</f>
        <v>6849900</v>
      </c>
      <c r="E11" s="43">
        <f>6975121.45</f>
        <v>6975121.45</v>
      </c>
      <c r="F11" s="13">
        <f>E11/C11*100</f>
        <v>21.074720896997018</v>
      </c>
      <c r="G11" s="14">
        <f>E11/D11*100</f>
        <v>101.82807705221974</v>
      </c>
    </row>
    <row r="12" spans="1:7" ht="14.25">
      <c r="A12" s="16">
        <v>22010300</v>
      </c>
      <c r="B12" s="15" t="s">
        <v>71</v>
      </c>
      <c r="C12" s="60">
        <f>15000</f>
        <v>15000</v>
      </c>
      <c r="D12" s="60">
        <f>3400</f>
        <v>3400</v>
      </c>
      <c r="E12" s="60">
        <f>3821.6</f>
        <v>3821.6</v>
      </c>
      <c r="F12" s="59">
        <f aca="true" t="shared" si="0" ref="F12:F40">E12/C12*100</f>
        <v>25.477333333333334</v>
      </c>
      <c r="G12" s="59">
        <f aca="true" t="shared" si="1" ref="G12:G59">E12/D12*100</f>
        <v>112.39999999999999</v>
      </c>
    </row>
    <row r="13" spans="1:7" ht="14.25">
      <c r="A13" s="16">
        <v>22090000</v>
      </c>
      <c r="B13" s="17" t="s">
        <v>28</v>
      </c>
      <c r="C13" s="44">
        <f>200000</f>
        <v>200000</v>
      </c>
      <c r="D13" s="44">
        <f>43000</f>
        <v>43000</v>
      </c>
      <c r="E13" s="44">
        <f>21583.51</f>
        <v>21583.51</v>
      </c>
      <c r="F13" s="14">
        <f t="shared" si="0"/>
        <v>10.791754999999998</v>
      </c>
      <c r="G13" s="14">
        <f t="shared" si="1"/>
        <v>50.194209302325575</v>
      </c>
    </row>
    <row r="14" spans="1:7" ht="15">
      <c r="A14" s="19"/>
      <c r="B14" s="20" t="s">
        <v>79</v>
      </c>
      <c r="C14" s="45">
        <f>SUM(C11:C13)</f>
        <v>33312100</v>
      </c>
      <c r="D14" s="45">
        <f>SUM(D11:D13)</f>
        <v>6896300</v>
      </c>
      <c r="E14" s="45">
        <f>SUM(E11:E13)</f>
        <v>7000526.56</v>
      </c>
      <c r="F14" s="21">
        <f t="shared" si="0"/>
        <v>21.014966213477983</v>
      </c>
      <c r="G14" s="21">
        <f t="shared" si="1"/>
        <v>101.51134028392035</v>
      </c>
    </row>
    <row r="15" spans="1:7" ht="14.25">
      <c r="A15" s="7">
        <v>41020100</v>
      </c>
      <c r="B15" s="17" t="s">
        <v>23</v>
      </c>
      <c r="C15" s="44">
        <f>36508100</f>
        <v>36508100</v>
      </c>
      <c r="D15" s="44">
        <f>9126900</f>
        <v>9126900</v>
      </c>
      <c r="E15" s="44">
        <f>8205570.41</f>
        <v>8205570.41</v>
      </c>
      <c r="F15" s="14">
        <f t="shared" si="0"/>
        <v>22.47602699127043</v>
      </c>
      <c r="G15" s="14">
        <f t="shared" si="1"/>
        <v>89.90533927182285</v>
      </c>
    </row>
    <row r="16" spans="1:7" ht="31.5" customHeight="1">
      <c r="A16" s="54">
        <v>41020600</v>
      </c>
      <c r="B16" s="53" t="s">
        <v>55</v>
      </c>
      <c r="C16" s="60">
        <f>1214500</f>
        <v>1214500</v>
      </c>
      <c r="D16" s="60">
        <v>0</v>
      </c>
      <c r="E16" s="60">
        <v>0</v>
      </c>
      <c r="F16" s="55">
        <f t="shared" si="0"/>
        <v>0</v>
      </c>
      <c r="G16" s="59" t="e">
        <f t="shared" si="1"/>
        <v>#DIV/0!</v>
      </c>
    </row>
    <row r="17" spans="1:7" ht="15">
      <c r="A17" s="7"/>
      <c r="B17" s="8" t="s">
        <v>24</v>
      </c>
      <c r="C17" s="45">
        <f>SUM(C15:C16)</f>
        <v>37722600</v>
      </c>
      <c r="D17" s="45">
        <f>SUM(D15:D16)</f>
        <v>9126900</v>
      </c>
      <c r="E17" s="45">
        <f>SUM(E15:E16)</f>
        <v>8205570.41</v>
      </c>
      <c r="F17" s="21">
        <f t="shared" si="0"/>
        <v>21.75239885373755</v>
      </c>
      <c r="G17" s="21">
        <f t="shared" si="1"/>
        <v>89.90533927182285</v>
      </c>
    </row>
    <row r="18" spans="1:7" ht="15">
      <c r="A18" s="7"/>
      <c r="B18" s="8" t="s">
        <v>25</v>
      </c>
      <c r="C18" s="45">
        <f>C17+C14</f>
        <v>71034700</v>
      </c>
      <c r="D18" s="45">
        <f>D17+D14</f>
        <v>16023200</v>
      </c>
      <c r="E18" s="45">
        <f>E17+E14</f>
        <v>15206096.969999999</v>
      </c>
      <c r="F18" s="21">
        <f t="shared" si="0"/>
        <v>21.406575898821277</v>
      </c>
      <c r="G18" s="21">
        <f t="shared" si="1"/>
        <v>94.90050033701132</v>
      </c>
    </row>
    <row r="19" spans="1:7" ht="14.25">
      <c r="A19" s="7">
        <v>13050000</v>
      </c>
      <c r="B19" s="17" t="s">
        <v>34</v>
      </c>
      <c r="C19" s="44">
        <f>4158000</f>
        <v>4158000</v>
      </c>
      <c r="D19" s="44">
        <f>725000</f>
        <v>725000</v>
      </c>
      <c r="E19" s="44">
        <f>930001.82</f>
        <v>930001.82</v>
      </c>
      <c r="F19" s="14">
        <f t="shared" si="0"/>
        <v>22.366566137566135</v>
      </c>
      <c r="G19" s="14">
        <f t="shared" si="1"/>
        <v>128.27611310344827</v>
      </c>
    </row>
    <row r="20" spans="1:7" ht="14.25">
      <c r="A20" s="7">
        <v>11020000</v>
      </c>
      <c r="B20" s="15" t="s">
        <v>47</v>
      </c>
      <c r="C20" s="44">
        <f>50000</f>
        <v>50000</v>
      </c>
      <c r="D20" s="44">
        <f>7000</f>
        <v>7000</v>
      </c>
      <c r="E20" s="44">
        <f>10714</f>
        <v>10714</v>
      </c>
      <c r="F20" s="14">
        <f t="shared" si="0"/>
        <v>21.428</v>
      </c>
      <c r="G20" s="14">
        <f t="shared" si="1"/>
        <v>153.05714285714285</v>
      </c>
    </row>
    <row r="21" spans="1:7" ht="28.5">
      <c r="A21" s="64" t="s">
        <v>73</v>
      </c>
      <c r="B21" s="67" t="s">
        <v>74</v>
      </c>
      <c r="C21" s="44">
        <v>0</v>
      </c>
      <c r="D21" s="44">
        <v>0</v>
      </c>
      <c r="E21" s="44">
        <f>-1238.3</f>
        <v>-1238.3</v>
      </c>
      <c r="F21" s="14" t="e">
        <f t="shared" si="0"/>
        <v>#DIV/0!</v>
      </c>
      <c r="G21" s="14" t="e">
        <f t="shared" si="1"/>
        <v>#DIV/0!</v>
      </c>
    </row>
    <row r="22" spans="1:7" ht="14.25">
      <c r="A22" s="7">
        <v>18000000</v>
      </c>
      <c r="B22" s="17" t="s">
        <v>35</v>
      </c>
      <c r="C22" s="44">
        <f>313800</f>
        <v>313800</v>
      </c>
      <c r="D22" s="44">
        <f>70900</f>
        <v>70900</v>
      </c>
      <c r="E22" s="44">
        <f>85662.76</f>
        <v>85662.76</v>
      </c>
      <c r="F22" s="14">
        <f t="shared" si="0"/>
        <v>27.298521351179094</v>
      </c>
      <c r="G22" s="14">
        <f t="shared" si="1"/>
        <v>120.82194640338504</v>
      </c>
    </row>
    <row r="23" spans="1:7" ht="15" customHeight="1">
      <c r="A23" s="7">
        <v>19040100</v>
      </c>
      <c r="B23" s="17" t="s">
        <v>29</v>
      </c>
      <c r="C23" s="44">
        <f>4900</f>
        <v>4900</v>
      </c>
      <c r="D23" s="44">
        <f>830</f>
        <v>830</v>
      </c>
      <c r="E23" s="44">
        <f>849.08</f>
        <v>849.08</v>
      </c>
      <c r="F23" s="14">
        <f t="shared" si="0"/>
        <v>17.328163265306124</v>
      </c>
      <c r="G23" s="14">
        <f t="shared" si="1"/>
        <v>102.29879518072289</v>
      </c>
    </row>
    <row r="24" spans="1:7" ht="15" customHeight="1">
      <c r="A24" s="7">
        <v>22080400</v>
      </c>
      <c r="B24" s="17" t="s">
        <v>50</v>
      </c>
      <c r="C24" s="43">
        <f>82748</f>
        <v>82748</v>
      </c>
      <c r="D24" s="43">
        <f>14500</f>
        <v>14500</v>
      </c>
      <c r="E24" s="43">
        <f>25921.12</f>
        <v>25921.12</v>
      </c>
      <c r="F24" s="14">
        <f t="shared" si="0"/>
        <v>31.32537342292261</v>
      </c>
      <c r="G24" s="14">
        <f t="shared" si="1"/>
        <v>178.7663448275862</v>
      </c>
    </row>
    <row r="25" spans="1:7" ht="28.5">
      <c r="A25" s="7">
        <v>21010300</v>
      </c>
      <c r="B25" s="53" t="s">
        <v>60</v>
      </c>
      <c r="C25" s="62">
        <f>4000</f>
        <v>4000</v>
      </c>
      <c r="D25" s="62">
        <f>1000</f>
        <v>1000</v>
      </c>
      <c r="E25" s="62">
        <f>3816</f>
        <v>3816</v>
      </c>
      <c r="F25" s="59">
        <f t="shared" si="0"/>
        <v>95.39999999999999</v>
      </c>
      <c r="G25" s="59">
        <f t="shared" si="1"/>
        <v>381.59999999999997</v>
      </c>
    </row>
    <row r="26" spans="1:7" ht="14.25">
      <c r="A26" s="16">
        <v>21080900</v>
      </c>
      <c r="B26" s="18" t="s">
        <v>67</v>
      </c>
      <c r="C26" s="62">
        <v>0</v>
      </c>
      <c r="D26" s="62">
        <v>0</v>
      </c>
      <c r="E26" s="62">
        <f>1</f>
        <v>1</v>
      </c>
      <c r="F26" s="59" t="e">
        <f>E26/C26*100</f>
        <v>#DIV/0!</v>
      </c>
      <c r="G26" s="59" t="e">
        <f>E26/D26*100</f>
        <v>#DIV/0!</v>
      </c>
    </row>
    <row r="27" spans="1:7" ht="14.25">
      <c r="A27" s="16">
        <v>21081100</v>
      </c>
      <c r="B27" s="18" t="s">
        <v>66</v>
      </c>
      <c r="C27" s="62">
        <f>12000</f>
        <v>12000</v>
      </c>
      <c r="D27" s="62">
        <f>3000</f>
        <v>3000</v>
      </c>
      <c r="E27" s="62">
        <f>3395.58</f>
        <v>3395.58</v>
      </c>
      <c r="F27" s="59">
        <f>E27/C27*100</f>
        <v>28.296499999999998</v>
      </c>
      <c r="G27" s="59">
        <f>E27/D27*100</f>
        <v>113.18599999999999</v>
      </c>
    </row>
    <row r="28" spans="1:7" ht="14.25">
      <c r="A28" s="7">
        <v>24060300</v>
      </c>
      <c r="B28" s="18" t="s">
        <v>62</v>
      </c>
      <c r="C28" s="43">
        <f>51800</f>
        <v>51800</v>
      </c>
      <c r="D28" s="43">
        <f>12600</f>
        <v>12600</v>
      </c>
      <c r="E28" s="43">
        <f>46818.39</f>
        <v>46818.39</v>
      </c>
      <c r="F28" s="59">
        <f>E28/C28*100</f>
        <v>90.38299227799229</v>
      </c>
      <c r="G28" s="59">
        <f>E28/D28*100</f>
        <v>371.57452380952384</v>
      </c>
    </row>
    <row r="29" spans="1:7" ht="14.25">
      <c r="A29" s="7">
        <v>16010200</v>
      </c>
      <c r="B29" s="65" t="s">
        <v>80</v>
      </c>
      <c r="C29" s="43">
        <v>0</v>
      </c>
      <c r="D29" s="43">
        <v>0</v>
      </c>
      <c r="E29" s="43">
        <f>585.9</f>
        <v>585.9</v>
      </c>
      <c r="F29" s="59" t="e">
        <f>E29/C29*100</f>
        <v>#DIV/0!</v>
      </c>
      <c r="G29" s="59" t="e">
        <f>E29/D29*100</f>
        <v>#DIV/0!</v>
      </c>
    </row>
    <row r="30" spans="1:7" ht="14.25">
      <c r="A30" s="7">
        <v>31010200</v>
      </c>
      <c r="B30" s="18" t="s">
        <v>68</v>
      </c>
      <c r="C30" s="43">
        <f>2900</f>
        <v>2900</v>
      </c>
      <c r="D30" s="43">
        <f>300</f>
        <v>300</v>
      </c>
      <c r="E30" s="43">
        <f>800</f>
        <v>800</v>
      </c>
      <c r="F30" s="59">
        <f>E30/C30*100</f>
        <v>27.586206896551722</v>
      </c>
      <c r="G30" s="59">
        <f>E30/D30*100</f>
        <v>266.66666666666663</v>
      </c>
    </row>
    <row r="31" spans="1:7" ht="15">
      <c r="A31" s="7"/>
      <c r="B31" s="8" t="s">
        <v>26</v>
      </c>
      <c r="C31" s="45">
        <f>SUM(C19:C30)</f>
        <v>4680148</v>
      </c>
      <c r="D31" s="45">
        <f>SUM(D19:D30)</f>
        <v>835130</v>
      </c>
      <c r="E31" s="45">
        <f>SUM(E19:E30)</f>
        <v>1107327.3499999999</v>
      </c>
      <c r="F31" s="21">
        <f t="shared" si="0"/>
        <v>23.66009258681563</v>
      </c>
      <c r="G31" s="21">
        <f t="shared" si="1"/>
        <v>132.59341060673188</v>
      </c>
    </row>
    <row r="32" spans="1:9" ht="15">
      <c r="A32" s="7"/>
      <c r="B32" s="8" t="s">
        <v>27</v>
      </c>
      <c r="C32" s="45">
        <f>+C31+C14</f>
        <v>37992248</v>
      </c>
      <c r="D32" s="45">
        <f>+D31+D14</f>
        <v>7731430</v>
      </c>
      <c r="E32" s="45">
        <f>+E31+E14</f>
        <v>8107853.909999999</v>
      </c>
      <c r="F32" s="21">
        <f t="shared" si="0"/>
        <v>21.340811183376143</v>
      </c>
      <c r="G32" s="21">
        <f t="shared" si="1"/>
        <v>104.86874886017203</v>
      </c>
      <c r="I32" s="63"/>
    </row>
    <row r="33" spans="1:7" ht="15">
      <c r="A33" s="17"/>
      <c r="B33" s="8" t="s">
        <v>30</v>
      </c>
      <c r="C33" s="45">
        <f>SUM(C34:C39)</f>
        <v>43540415</v>
      </c>
      <c r="D33" s="45">
        <f>SUM(D34:D39)</f>
        <v>14125899.36</v>
      </c>
      <c r="E33" s="45">
        <f>SUM(E34:E39)</f>
        <v>14123222.16</v>
      </c>
      <c r="F33" s="21">
        <f t="shared" si="0"/>
        <v>32.43704075856879</v>
      </c>
      <c r="G33" s="21">
        <f t="shared" si="1"/>
        <v>99.98104757841062</v>
      </c>
    </row>
    <row r="34" spans="1:7" ht="28.5">
      <c r="A34" s="22">
        <v>41030600</v>
      </c>
      <c r="B34" s="15" t="s">
        <v>58</v>
      </c>
      <c r="C34" s="58">
        <f>26023820</f>
        <v>26023820</v>
      </c>
      <c r="D34" s="58">
        <f>6388564.63</f>
        <v>6388564.63</v>
      </c>
      <c r="E34" s="58">
        <f>6388564.63</f>
        <v>6388564.63</v>
      </c>
      <c r="F34" s="55">
        <f t="shared" si="0"/>
        <v>24.548911843073</v>
      </c>
      <c r="G34" s="55">
        <f t="shared" si="1"/>
        <v>100</v>
      </c>
    </row>
    <row r="35" spans="1:7" ht="114">
      <c r="A35" s="22">
        <v>41030800</v>
      </c>
      <c r="B35" s="15" t="s">
        <v>31</v>
      </c>
      <c r="C35" s="58">
        <f>15075700</f>
        <v>15075700</v>
      </c>
      <c r="D35" s="58">
        <f>7006950.73</f>
        <v>7006950.73</v>
      </c>
      <c r="E35" s="58">
        <f>7005535.64</f>
        <v>7005535.64</v>
      </c>
      <c r="F35" s="55">
        <f t="shared" si="0"/>
        <v>46.46905709187633</v>
      </c>
      <c r="G35" s="55">
        <f t="shared" si="1"/>
        <v>99.97980448194188</v>
      </c>
    </row>
    <row r="36" spans="1:7" ht="103.5" customHeight="1">
      <c r="A36" s="22">
        <v>41030900</v>
      </c>
      <c r="B36" s="15" t="s">
        <v>32</v>
      </c>
      <c r="C36" s="58">
        <f>2085400</f>
        <v>2085400</v>
      </c>
      <c r="D36" s="58">
        <f>642980</f>
        <v>642980</v>
      </c>
      <c r="E36" s="58">
        <f>642979.06</f>
        <v>642979.06</v>
      </c>
      <c r="F36" s="55">
        <f t="shared" si="0"/>
        <v>30.832409130142903</v>
      </c>
      <c r="G36" s="55">
        <f t="shared" si="1"/>
        <v>99.99985380571714</v>
      </c>
    </row>
    <row r="37" spans="1:7" ht="99.75">
      <c r="A37" s="22">
        <v>41031000</v>
      </c>
      <c r="B37" s="15" t="s">
        <v>33</v>
      </c>
      <c r="C37" s="58">
        <f>12800</f>
        <v>12800</v>
      </c>
      <c r="D37" s="58">
        <f>1978</f>
        <v>1978</v>
      </c>
      <c r="E37" s="58">
        <f>717.59</f>
        <v>717.59</v>
      </c>
      <c r="F37" s="55">
        <f t="shared" si="0"/>
        <v>5.606171875</v>
      </c>
      <c r="G37" s="55">
        <f t="shared" si="1"/>
        <v>36.27856420626896</v>
      </c>
    </row>
    <row r="38" spans="1:7" ht="57.75" customHeight="1">
      <c r="A38" s="22">
        <v>41035800</v>
      </c>
      <c r="B38" s="15" t="s">
        <v>64</v>
      </c>
      <c r="C38" s="46">
        <f>235900</f>
        <v>235900</v>
      </c>
      <c r="D38" s="46">
        <f>56022</f>
        <v>56022</v>
      </c>
      <c r="E38" s="46">
        <f>56021.24</f>
        <v>56021.24</v>
      </c>
      <c r="F38" s="38">
        <f t="shared" si="0"/>
        <v>23.747876218736753</v>
      </c>
      <c r="G38" s="14">
        <f t="shared" si="1"/>
        <v>99.99864339009675</v>
      </c>
    </row>
    <row r="39" spans="1:7" ht="16.5" customHeight="1">
      <c r="A39" s="22">
        <v>41035000</v>
      </c>
      <c r="B39" s="15" t="s">
        <v>61</v>
      </c>
      <c r="C39" s="46">
        <f>106795</f>
        <v>106795</v>
      </c>
      <c r="D39" s="46">
        <f>29404</f>
        <v>29404</v>
      </c>
      <c r="E39" s="46">
        <f>29404</f>
        <v>29404</v>
      </c>
      <c r="F39" s="38">
        <f>E39/C39*100</f>
        <v>27.533124209934922</v>
      </c>
      <c r="G39" s="14">
        <f>E39/D39*100</f>
        <v>100</v>
      </c>
    </row>
    <row r="40" spans="1:7" ht="16.5" customHeight="1">
      <c r="A40" s="8" t="s">
        <v>43</v>
      </c>
      <c r="B40" s="17"/>
      <c r="C40" s="45">
        <f>+C31+C18+C33</f>
        <v>119255263</v>
      </c>
      <c r="D40" s="45">
        <f>+D31+D18+D33</f>
        <v>30984229.36</v>
      </c>
      <c r="E40" s="45">
        <f>E31+E18+E33</f>
        <v>30436646.479999997</v>
      </c>
      <c r="F40" s="21">
        <f t="shared" si="0"/>
        <v>25.522266870519584</v>
      </c>
      <c r="G40" s="21">
        <f t="shared" si="1"/>
        <v>98.23270453611178</v>
      </c>
    </row>
    <row r="41" spans="1:7" ht="15">
      <c r="A41" s="25"/>
      <c r="B41" s="42" t="s">
        <v>51</v>
      </c>
      <c r="C41" s="48"/>
      <c r="D41" s="48"/>
      <c r="E41" s="47"/>
      <c r="F41" s="24"/>
      <c r="G41" s="14"/>
    </row>
    <row r="42" spans="1:7" ht="15">
      <c r="A42" s="39" t="s">
        <v>18</v>
      </c>
      <c r="B42" s="28" t="s">
        <v>19</v>
      </c>
      <c r="C42" s="49">
        <f>5088325.57</f>
        <v>5088325.57</v>
      </c>
      <c r="D42" s="49">
        <f>1395930.57</f>
        <v>1395930.57</v>
      </c>
      <c r="E42" s="49">
        <f>1307849.88</f>
        <v>1307849.88</v>
      </c>
      <c r="F42" s="29">
        <f aca="true" t="shared" si="2" ref="F42:F59">E42/C42*100</f>
        <v>25.702952022387983</v>
      </c>
      <c r="G42" s="21">
        <f t="shared" si="1"/>
        <v>93.69018116710488</v>
      </c>
    </row>
    <row r="43" spans="1:7" ht="15">
      <c r="A43" s="39" t="s">
        <v>4</v>
      </c>
      <c r="B43" s="28" t="s">
        <v>0</v>
      </c>
      <c r="C43" s="49">
        <f>39296093.1</f>
        <v>39296093.1</v>
      </c>
      <c r="D43" s="49">
        <f>13048822.1</f>
        <v>13048822.1</v>
      </c>
      <c r="E43" s="49">
        <f>11875026.22</f>
        <v>11875026.22</v>
      </c>
      <c r="F43" s="29">
        <f t="shared" si="2"/>
        <v>30.219355877900238</v>
      </c>
      <c r="G43" s="21">
        <f t="shared" si="1"/>
        <v>91.00458362444837</v>
      </c>
    </row>
    <row r="44" spans="1:7" ht="18.75" customHeight="1">
      <c r="A44" s="39" t="s">
        <v>5</v>
      </c>
      <c r="B44" s="28" t="s">
        <v>81</v>
      </c>
      <c r="C44" s="49">
        <f>44727972.47</f>
        <v>44727972.47</v>
      </c>
      <c r="D44" s="49">
        <f>14348416.08</f>
        <v>14348416.08</v>
      </c>
      <c r="E44" s="49">
        <f>14015131.2</f>
        <v>14015131.2</v>
      </c>
      <c r="F44" s="29">
        <f t="shared" si="2"/>
        <v>31.334152714836883</v>
      </c>
      <c r="G44" s="21">
        <f t="shared" si="1"/>
        <v>97.6772008970066</v>
      </c>
    </row>
    <row r="45" spans="1:7" ht="18" customHeight="1">
      <c r="A45" s="39" t="s">
        <v>6</v>
      </c>
      <c r="B45" s="40" t="s">
        <v>36</v>
      </c>
      <c r="C45" s="66">
        <f>SUM(C46:C46)</f>
        <v>3350000</v>
      </c>
      <c r="D45" s="66">
        <f>SUM(D46:D46)</f>
        <v>1417102</v>
      </c>
      <c r="E45" s="66">
        <f>SUM(E46:E46)</f>
        <v>1417102</v>
      </c>
      <c r="F45" s="29">
        <f t="shared" si="2"/>
        <v>42.301552238805975</v>
      </c>
      <c r="G45" s="21">
        <f t="shared" si="1"/>
        <v>100</v>
      </c>
    </row>
    <row r="46" spans="1:7" ht="14.25">
      <c r="A46" s="25">
        <v>100203</v>
      </c>
      <c r="B46" s="15" t="s">
        <v>11</v>
      </c>
      <c r="C46" s="47">
        <f>3350000</f>
        <v>3350000</v>
      </c>
      <c r="D46" s="47">
        <f>1417102</f>
        <v>1417102</v>
      </c>
      <c r="E46" s="47">
        <f>1417102</f>
        <v>1417102</v>
      </c>
      <c r="F46" s="27">
        <f t="shared" si="2"/>
        <v>42.301552238805975</v>
      </c>
      <c r="G46" s="14">
        <f t="shared" si="1"/>
        <v>100</v>
      </c>
    </row>
    <row r="47" spans="1:7" ht="15">
      <c r="A47" s="39" t="s">
        <v>7</v>
      </c>
      <c r="B47" s="28" t="s">
        <v>13</v>
      </c>
      <c r="C47" s="49">
        <f>3499548</f>
        <v>3499548</v>
      </c>
      <c r="D47" s="49">
        <f>1008430</f>
        <v>1008430</v>
      </c>
      <c r="E47" s="49">
        <f>970398.18</f>
        <v>970398.18</v>
      </c>
      <c r="F47" s="29">
        <f t="shared" si="2"/>
        <v>27.72924331942297</v>
      </c>
      <c r="G47" s="21">
        <f t="shared" si="1"/>
        <v>96.22861081086442</v>
      </c>
    </row>
    <row r="48" spans="1:7" ht="15">
      <c r="A48" s="39" t="s">
        <v>8</v>
      </c>
      <c r="B48" s="28" t="s">
        <v>37</v>
      </c>
      <c r="C48" s="49">
        <f>200000</f>
        <v>200000</v>
      </c>
      <c r="D48" s="49">
        <f>48000</f>
        <v>48000</v>
      </c>
      <c r="E48" s="49">
        <f>48000</f>
        <v>48000</v>
      </c>
      <c r="F48" s="29">
        <f t="shared" si="2"/>
        <v>24</v>
      </c>
      <c r="G48" s="21">
        <f t="shared" si="1"/>
        <v>100</v>
      </c>
    </row>
    <row r="49" spans="1:7" ht="15">
      <c r="A49" s="39" t="s">
        <v>9</v>
      </c>
      <c r="B49" s="28" t="s">
        <v>2</v>
      </c>
      <c r="C49" s="49">
        <f>916243.93</f>
        <v>916243.93</v>
      </c>
      <c r="D49" s="49">
        <f>330485.93</f>
        <v>330485.93</v>
      </c>
      <c r="E49" s="49">
        <f>282757.06</f>
        <v>282757.06</v>
      </c>
      <c r="F49" s="29">
        <f t="shared" si="2"/>
        <v>30.860456559859557</v>
      </c>
      <c r="G49" s="21">
        <f t="shared" si="1"/>
        <v>85.5579721654111</v>
      </c>
    </row>
    <row r="50" spans="1:7" ht="30">
      <c r="A50" s="39" t="s">
        <v>15</v>
      </c>
      <c r="B50" s="28" t="s">
        <v>38</v>
      </c>
      <c r="C50" s="49">
        <f>SUM(C51:C52)</f>
        <v>1370900</v>
      </c>
      <c r="D50" s="49">
        <f>SUM(D51:D52)</f>
        <v>505217.75</v>
      </c>
      <c r="E50" s="49">
        <f>SUM(E51:E52)</f>
        <v>468670.63</v>
      </c>
      <c r="F50" s="29">
        <f t="shared" si="2"/>
        <v>34.1870763731855</v>
      </c>
      <c r="G50" s="61">
        <f t="shared" si="1"/>
        <v>92.76606572116677</v>
      </c>
    </row>
    <row r="51" spans="1:7" ht="31.5" customHeight="1">
      <c r="A51" s="25" t="s">
        <v>17</v>
      </c>
      <c r="B51" s="15" t="s">
        <v>53</v>
      </c>
      <c r="C51" s="47">
        <f>1320900</f>
        <v>1320900</v>
      </c>
      <c r="D51" s="47">
        <f>500723.36</f>
        <v>500723.36</v>
      </c>
      <c r="E51" s="47">
        <f>464176.24</f>
        <v>464176.24</v>
      </c>
      <c r="F51" s="27">
        <f t="shared" si="2"/>
        <v>35.140906957377545</v>
      </c>
      <c r="G51" s="59">
        <f t="shared" si="1"/>
        <v>92.70113541337476</v>
      </c>
    </row>
    <row r="52" spans="1:7" ht="30" customHeight="1">
      <c r="A52" s="25" t="s">
        <v>40</v>
      </c>
      <c r="B52" s="15" t="s">
        <v>54</v>
      </c>
      <c r="C52" s="47">
        <f>50000</f>
        <v>50000</v>
      </c>
      <c r="D52" s="47">
        <f>4494.39</f>
        <v>4494.39</v>
      </c>
      <c r="E52" s="47">
        <f>4494.39</f>
        <v>4494.39</v>
      </c>
      <c r="F52" s="27">
        <f t="shared" si="2"/>
        <v>8.98878</v>
      </c>
      <c r="G52" s="59">
        <f t="shared" si="1"/>
        <v>100</v>
      </c>
    </row>
    <row r="53" spans="1:7" ht="30">
      <c r="A53" s="39" t="s">
        <v>57</v>
      </c>
      <c r="B53" s="28" t="s">
        <v>65</v>
      </c>
      <c r="C53" s="49">
        <f>211534.54</f>
        <v>211534.54</v>
      </c>
      <c r="D53" s="49">
        <f>108774.54</f>
        <v>108774.54</v>
      </c>
      <c r="E53" s="50">
        <f>71698.09</f>
        <v>71698.09</v>
      </c>
      <c r="F53" s="29">
        <f t="shared" si="2"/>
        <v>33.89427088361078</v>
      </c>
      <c r="G53" s="61">
        <f t="shared" si="1"/>
        <v>65.91440423466742</v>
      </c>
    </row>
    <row r="54" spans="1:7" ht="16.5" customHeight="1">
      <c r="A54" s="39" t="s">
        <v>10</v>
      </c>
      <c r="B54" s="28" t="s">
        <v>14</v>
      </c>
      <c r="C54" s="49">
        <f>SUM(C55:C56)</f>
        <v>414356.71</v>
      </c>
      <c r="D54" s="49">
        <f>SUM(D55:D56)</f>
        <v>264356.71</v>
      </c>
      <c r="E54" s="49">
        <f>SUM(E55:E56)</f>
        <v>126163.05</v>
      </c>
      <c r="F54" s="29">
        <f t="shared" si="2"/>
        <v>30.447932169361998</v>
      </c>
      <c r="G54" s="21">
        <f t="shared" si="1"/>
        <v>47.72454990834164</v>
      </c>
    </row>
    <row r="55" spans="1:7" ht="14.25">
      <c r="A55" s="25">
        <v>250102</v>
      </c>
      <c r="B55" s="15" t="s">
        <v>3</v>
      </c>
      <c r="C55" s="47">
        <f>23391.46</f>
        <v>23391.46</v>
      </c>
      <c r="D55" s="47">
        <f>23391.46</f>
        <v>23391.46</v>
      </c>
      <c r="E55" s="47">
        <v>0</v>
      </c>
      <c r="F55" s="27">
        <v>0</v>
      </c>
      <c r="G55" s="14">
        <v>0</v>
      </c>
    </row>
    <row r="56" spans="1:7" ht="14.25">
      <c r="A56" s="25" t="s">
        <v>12</v>
      </c>
      <c r="B56" s="15" t="s">
        <v>1</v>
      </c>
      <c r="C56" s="47">
        <f>390965.25</f>
        <v>390965.25</v>
      </c>
      <c r="D56" s="47">
        <f>240965.25</f>
        <v>240965.25</v>
      </c>
      <c r="E56" s="47">
        <f>126163.05</f>
        <v>126163.05</v>
      </c>
      <c r="F56" s="27">
        <f>E56/C56*100</f>
        <v>32.26963265916856</v>
      </c>
      <c r="G56" s="59">
        <f>E56/D56*100</f>
        <v>52.35736273176319</v>
      </c>
    </row>
    <row r="57" spans="1:9" ht="15">
      <c r="A57" s="25"/>
      <c r="B57" s="28" t="s">
        <v>41</v>
      </c>
      <c r="C57" s="49">
        <f>C54+C53+C50+C49+C48+C47+C45+C44+C43+C42</f>
        <v>99074974.32</v>
      </c>
      <c r="D57" s="49">
        <f>D54++D53+D50+D49+D48+D47+D45+D44+D43+D42</f>
        <v>32475535.68</v>
      </c>
      <c r="E57" s="49">
        <f>E54++E53+E50+E49+E48+E47+E45+E44+E43+E42</f>
        <v>30582796.31</v>
      </c>
      <c r="F57" s="29">
        <f t="shared" si="2"/>
        <v>30.868336348209713</v>
      </c>
      <c r="G57" s="21">
        <f t="shared" si="1"/>
        <v>94.17179938569684</v>
      </c>
      <c r="I57" s="63"/>
    </row>
    <row r="58" spans="1:7" ht="42.75">
      <c r="A58" s="25" t="s">
        <v>70</v>
      </c>
      <c r="B58" s="15" t="s">
        <v>69</v>
      </c>
      <c r="C58" s="47">
        <f>20176200</f>
        <v>20176200</v>
      </c>
      <c r="D58" s="47">
        <f>4728555</f>
        <v>4728555</v>
      </c>
      <c r="E58" s="47">
        <f>4728555</f>
        <v>4728555</v>
      </c>
      <c r="F58" s="27">
        <f>E58/C58*100</f>
        <v>23.436301186546526</v>
      </c>
      <c r="G58" s="59">
        <f>E58/D58*100</f>
        <v>100</v>
      </c>
    </row>
    <row r="59" spans="1:7" ht="15">
      <c r="A59" s="23"/>
      <c r="B59" s="28" t="s">
        <v>49</v>
      </c>
      <c r="C59" s="49">
        <f>C58+C57</f>
        <v>119251174.32</v>
      </c>
      <c r="D59" s="49">
        <f>D58+D57</f>
        <v>37204090.68</v>
      </c>
      <c r="E59" s="49">
        <f>E58+E57</f>
        <v>35311351.31</v>
      </c>
      <c r="F59" s="29">
        <f t="shared" si="2"/>
        <v>29.610904472307425</v>
      </c>
      <c r="G59" s="21">
        <f t="shared" si="1"/>
        <v>94.91255037979603</v>
      </c>
    </row>
    <row r="60" spans="1:7" ht="15">
      <c r="A60" s="30"/>
      <c r="B60" s="28" t="s">
        <v>39</v>
      </c>
      <c r="C60" s="57">
        <f>50000</f>
        <v>50000</v>
      </c>
      <c r="D60" s="51"/>
      <c r="E60" s="51"/>
      <c r="F60" s="29"/>
      <c r="G60" s="17"/>
    </row>
    <row r="61" spans="1:7" ht="15">
      <c r="A61" s="17"/>
      <c r="B61" s="8" t="s">
        <v>45</v>
      </c>
      <c r="C61" s="49"/>
      <c r="D61" s="49"/>
      <c r="E61" s="49">
        <f>E40-E59</f>
        <v>-4874704.830000006</v>
      </c>
      <c r="F61" s="27"/>
      <c r="G61" s="17"/>
    </row>
    <row r="62" spans="1:6" ht="14.25">
      <c r="A62" s="31"/>
      <c r="B62" s="26"/>
      <c r="C62" s="32"/>
      <c r="D62" s="32"/>
      <c r="E62" s="32"/>
      <c r="F62" s="33"/>
    </row>
    <row r="63" spans="1:6" ht="14.25">
      <c r="A63" s="34"/>
      <c r="C63" s="32"/>
      <c r="D63" s="32"/>
      <c r="E63" s="32"/>
      <c r="F63" s="33"/>
    </row>
    <row r="64" spans="1:6" ht="14.25">
      <c r="A64" s="35"/>
      <c r="C64" s="35"/>
      <c r="D64" s="35"/>
      <c r="E64" s="36"/>
      <c r="F64" s="37"/>
    </row>
    <row r="65" spans="1:6" ht="14.25">
      <c r="A65" s="35"/>
      <c r="B65" s="26" t="s">
        <v>56</v>
      </c>
      <c r="C65" s="52"/>
      <c r="D65" s="52"/>
      <c r="E65" s="36"/>
      <c r="F65" s="37"/>
    </row>
    <row r="66" spans="1:6" ht="14.25">
      <c r="A66" s="35"/>
      <c r="C66" s="35"/>
      <c r="D66" s="35"/>
      <c r="E66" s="36"/>
      <c r="F66" s="37"/>
    </row>
    <row r="67" spans="1:6" ht="14.25">
      <c r="A67" s="35"/>
      <c r="C67" s="35"/>
      <c r="D67" s="35"/>
      <c r="E67" s="36"/>
      <c r="F67" s="37"/>
    </row>
    <row r="68" spans="1:6" ht="14.25">
      <c r="A68" s="35"/>
      <c r="C68" s="35"/>
      <c r="D68" s="35"/>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3:6" ht="14.25">
      <c r="C200" s="35"/>
      <c r="D200" s="35"/>
      <c r="E200" s="36"/>
      <c r="F200" s="37"/>
    </row>
    <row r="201" spans="3:6" ht="14.25">
      <c r="C201" s="35"/>
      <c r="D201" s="35"/>
      <c r="E201" s="36"/>
      <c r="F201" s="36"/>
    </row>
    <row r="202" spans="3:6" ht="14.25">
      <c r="C202" s="35"/>
      <c r="D202" s="35"/>
      <c r="E202" s="36"/>
      <c r="F202" s="36"/>
    </row>
    <row r="203" spans="3:6" ht="14.25">
      <c r="C203" s="35"/>
      <c r="D203" s="35"/>
      <c r="E203" s="36"/>
      <c r="F203" s="36"/>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5"/>
      <c r="F280" s="35"/>
    </row>
    <row r="281" spans="3:6" ht="14.25">
      <c r="C281" s="35"/>
      <c r="D281" s="35"/>
      <c r="E281" s="35"/>
      <c r="F281" s="35"/>
    </row>
    <row r="282" spans="3:6" ht="14.25">
      <c r="C282" s="35"/>
      <c r="D282" s="35"/>
      <c r="E282" s="35"/>
      <c r="F282" s="35"/>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2012-06-05T06:55:30Z</cp:lastPrinted>
  <dcterms:created xsi:type="dcterms:W3CDTF">2001-12-14T14:44:01Z</dcterms:created>
  <dcterms:modified xsi:type="dcterms:W3CDTF">2012-06-05T06:55:52Z</dcterms:modified>
  <cp:category/>
  <cp:version/>
  <cp:contentType/>
  <cp:contentStatus/>
</cp:coreProperties>
</file>